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__000\Documents\TAREAS DE MELI\"/>
    </mc:Choice>
  </mc:AlternateContent>
  <bookViews>
    <workbookView xWindow="0" yWindow="0" windowWidth="11520" windowHeight="7755"/>
  </bookViews>
  <sheets>
    <sheet name="HOJAS DE DATOS" sheetId="1" r:id="rId1"/>
    <sheet name="HOJA DE CALCULO" sheetId="2" r:id="rId2"/>
    <sheet name="HOJA DE INFORM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36" i="2" s="1"/>
  <c r="C26" i="2"/>
  <c r="D26" i="2"/>
  <c r="B27" i="2"/>
  <c r="B30" i="2" s="1"/>
  <c r="C27" i="2"/>
  <c r="C30" i="2" s="1"/>
  <c r="C34" i="2" s="1"/>
  <c r="D27" i="2"/>
  <c r="D30" i="2" s="1"/>
  <c r="D34" i="2" s="1"/>
  <c r="B28" i="2"/>
  <c r="C28" i="2"/>
  <c r="D28" i="2"/>
  <c r="B29" i="2"/>
  <c r="C29" i="2"/>
  <c r="D29" i="2"/>
  <c r="B31" i="2"/>
  <c r="B32" i="2" s="1"/>
  <c r="C31" i="2"/>
  <c r="D31" i="2"/>
  <c r="C32" i="2"/>
  <c r="D32" i="2"/>
  <c r="D33" i="2"/>
  <c r="D35" i="2" s="1"/>
  <c r="D37" i="2" s="1"/>
  <c r="C36" i="2"/>
  <c r="D36" i="2"/>
  <c r="B4" i="3"/>
  <c r="B13" i="3"/>
  <c r="B12" i="3"/>
  <c r="B11" i="3"/>
  <c r="B10" i="3"/>
  <c r="B8" i="3"/>
  <c r="B7" i="3"/>
  <c r="B6" i="3"/>
  <c r="B5" i="3"/>
  <c r="B9" i="3"/>
  <c r="B34" i="2" l="1"/>
  <c r="D39" i="2"/>
  <c r="C33" i="2"/>
  <c r="C35" i="2" s="1"/>
  <c r="C37" i="2" s="1"/>
  <c r="C39" i="2"/>
  <c r="B33" i="2"/>
  <c r="B35" i="2" s="1"/>
  <c r="B37" i="2" s="1"/>
  <c r="B39" i="2"/>
  <c r="G27" i="2"/>
  <c r="G26" i="2"/>
  <c r="G25" i="2"/>
  <c r="J9" i="2" l="1"/>
  <c r="J8" i="2"/>
  <c r="I9" i="2"/>
  <c r="I8" i="2"/>
  <c r="H9" i="2"/>
  <c r="H8" i="2"/>
  <c r="J6" i="2"/>
  <c r="I6" i="2"/>
  <c r="I11" i="2" s="1"/>
  <c r="I12" i="2" s="1"/>
  <c r="H6" i="2"/>
  <c r="J7" i="2"/>
  <c r="I7" i="2"/>
  <c r="H7" i="2"/>
  <c r="H19" i="2" s="1"/>
  <c r="D19" i="2"/>
  <c r="D16" i="2"/>
  <c r="C11" i="2"/>
  <c r="C12" i="2" s="1"/>
  <c r="B11" i="2"/>
  <c r="B12" i="2" s="1"/>
  <c r="D11" i="2"/>
  <c r="D12" i="2" s="1"/>
  <c r="D10" i="2"/>
  <c r="C19" i="2"/>
  <c r="C16" i="2"/>
  <c r="C10" i="2"/>
  <c r="B19" i="2"/>
  <c r="B16" i="2"/>
  <c r="B13" i="2"/>
  <c r="B10" i="2"/>
  <c r="J16" i="2" l="1"/>
  <c r="I13" i="2"/>
  <c r="H11" i="2"/>
  <c r="H12" i="2" s="1"/>
  <c r="D14" i="2"/>
  <c r="B14" i="2"/>
  <c r="B15" i="2" s="1"/>
  <c r="B17" i="2" s="1"/>
  <c r="H16" i="2"/>
  <c r="C14" i="2"/>
  <c r="I10" i="2"/>
  <c r="I14" i="2" s="1"/>
  <c r="I15" i="2" s="1"/>
  <c r="J11" i="2"/>
  <c r="J12" i="2" s="1"/>
  <c r="H13" i="2"/>
  <c r="I19" i="2"/>
  <c r="C13" i="2"/>
  <c r="D13" i="2"/>
  <c r="J10" i="2"/>
  <c r="J19" i="2"/>
  <c r="I16" i="2"/>
  <c r="H10" i="2"/>
  <c r="D15" i="2" l="1"/>
  <c r="D17" i="2" s="1"/>
  <c r="H14" i="2"/>
  <c r="J14" i="2"/>
  <c r="C15" i="2"/>
  <c r="C17" i="2" s="1"/>
  <c r="I17" i="2"/>
  <c r="H15" i="2"/>
  <c r="H17" i="2" s="1"/>
  <c r="J13" i="2"/>
  <c r="J15" i="2" s="1"/>
  <c r="J17" i="2" s="1"/>
</calcChain>
</file>

<file path=xl/sharedStrings.xml><?xml version="1.0" encoding="utf-8"?>
<sst xmlns="http://schemas.openxmlformats.org/spreadsheetml/2006/main" count="104" uniqueCount="64">
  <si>
    <t>Se solicita al contador un reporte de ventas efectuadas en dicimbre de 2013, con referencia a 3 articulos especificos, lo que llamaremos A,B, Y C.</t>
  </si>
  <si>
    <t>LA EMPRESA JUGUETILANDIA</t>
  </si>
  <si>
    <t xml:space="preserve">Con el fin de pronosticar  los resultados para el mes de diciembre de 2015. </t>
  </si>
  <si>
    <t>La información que se considera en el 2013 es la siguiente:</t>
  </si>
  <si>
    <t>B=400</t>
  </si>
  <si>
    <t>De cada artículo se vendieron :</t>
  </si>
  <si>
    <t>A=200</t>
  </si>
  <si>
    <t>B=350</t>
  </si>
  <si>
    <t>El número total adquiridos por la empresa por artículo fue:</t>
  </si>
  <si>
    <t>A=225</t>
  </si>
  <si>
    <t>C=515</t>
  </si>
  <si>
    <t>C=450</t>
  </si>
  <si>
    <t>Los artículos se reciben en remesas de n productos, pero un  porcentaje viene defectuoso de fabrica, sabemos que el artículo A la remesa tiene</t>
  </si>
  <si>
    <t>16 piezas y 2 de ellas estan defectuosa; de B 10 piezas con 1 defectuoso y de C 25 piezas con 2 defectuosos.</t>
  </si>
  <si>
    <t>El precio de adquisición  de cada pieza del artículo A es de $80 pesos, decrementando su valor en un 60% para cada pieza del artículo B y un 69%</t>
  </si>
  <si>
    <t>para C partinedo de B.</t>
  </si>
  <si>
    <t>El precio de venta para A fue de 95% más que su precio de adquisisción, para B 65% más y para C 50% más.</t>
  </si>
  <si>
    <t xml:space="preserve">Cabe mencionar que los clientes devuelven el artículo defectuoso y se llevan uno no defectuoso, el valor de venta se decrementa en un 40% </t>
  </si>
  <si>
    <t>en el caso del artículo A, para B en un 30% menos y para C un 20%.</t>
  </si>
  <si>
    <t>Basados en registro tenemos que el porcentaje de venta para diciembre 2014:</t>
  </si>
  <si>
    <t>El número de productos adquiridos es iguel que el año pasado, incluyendo el producto que quedo en almacén.</t>
  </si>
  <si>
    <t>El nímero de productos vendidos del artículo A es 10% menos que el año pasado, para B =l a 8% menos y para C = a 16 % más.</t>
  </si>
  <si>
    <t>Los proveedores aumentaron el precio de adquisición comparando tenemos: 10% más el artículo A, para B igual 15% más y para C igual a 5% menos.</t>
  </si>
  <si>
    <t>Se espera el mosmo numero de pizas defectuosas y no defectuosas por remesa en cada uno de los artículos(redondear x.5 al número inmediato superior) .</t>
  </si>
  <si>
    <t>Para la venta de productos defectuosos la empresa asignará el mismo porcentage que se le descontó a acada artículo el año pasado.}</t>
  </si>
  <si>
    <t>El porcentage asignado por el precio de venta de cada producto de cada artículo será igual que el año pasado.</t>
  </si>
  <si>
    <t>PARA EL  SIGUEINTE AÑO 2015:</t>
  </si>
  <si>
    <t>Se decide como medida de prevención para evitar que quede producción en bodega: "que el  número de productos a adquirir el proximo año sea igual al número a vender del año pasado."</t>
  </si>
  <si>
    <t>Se respeta el mismo % del aumento y % de decremento en cada artículo.</t>
  </si>
  <si>
    <t>CONCEPTOS</t>
  </si>
  <si>
    <t>Números de productos adquiridos</t>
  </si>
  <si>
    <t>Precio de adquisición</t>
  </si>
  <si>
    <t>Número de productos vendidos</t>
  </si>
  <si>
    <t>Número de productos por remesa</t>
  </si>
  <si>
    <t>Número de productos defectuosos por remesa</t>
  </si>
  <si>
    <t>Números de productos defectuosos devueltos</t>
  </si>
  <si>
    <t>Precio de venta por producto no defectuoso</t>
  </si>
  <si>
    <t>Precio de venta por producto defectuoso</t>
  </si>
  <si>
    <t>Importe de la venta de artículos no defectuosos</t>
  </si>
  <si>
    <t>Importe de la venta de artículo defectuoso</t>
  </si>
  <si>
    <t>Ventas netas</t>
  </si>
  <si>
    <t>Gastos de adquisición</t>
  </si>
  <si>
    <t>Utilidad bruta</t>
  </si>
  <si>
    <t>STOCK</t>
  </si>
  <si>
    <t>Inventario final</t>
  </si>
  <si>
    <t>MOCHILA</t>
  </si>
  <si>
    <t>USB</t>
  </si>
  <si>
    <t xml:space="preserve">CARPETA </t>
  </si>
  <si>
    <t>CARPETA</t>
  </si>
  <si>
    <t>AÑO</t>
  </si>
  <si>
    <t>PRODUCTO</t>
  </si>
  <si>
    <t>IMPORTE DE LA VENTA DE ARTICULOS NO DEFECTUOSOS</t>
  </si>
  <si>
    <t>IMPORTE DE LA VENTA DE ARTICULOS DEFECTUOSOS</t>
  </si>
  <si>
    <t>VENTAS NETAS</t>
  </si>
  <si>
    <t>UTILIDAD BRUTA</t>
  </si>
  <si>
    <t>INVENTARIO FINAL</t>
  </si>
  <si>
    <t>AÑO 2015</t>
  </si>
  <si>
    <t>AÑO 2013</t>
  </si>
  <si>
    <t>AÑO 2014</t>
  </si>
  <si>
    <t>PRECIO DE ADQUISICION</t>
  </si>
  <si>
    <t>NUMERO DE PRODUCTOS VENDIDOS</t>
  </si>
  <si>
    <t>NUMERO DE PRODUCTOS POR REMESA</t>
  </si>
  <si>
    <t>PRECIO DE VENTA POR PRODUCTO NO DEFECTUOSO</t>
  </si>
  <si>
    <t>NUMERO DE PRODUCTOS ADQUIRIDOS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</si>
</sst>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6" fontId="0" fillId="0" borderId="0" xfId="0" applyNumberFormat="1"/>
    <xf numFmtId="8" fontId="0" fillId="0" borderId="0" xfId="0" applyNumberFormat="1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Alignment="1"/>
    <xf numFmtId="164" fontId="0" fillId="0" borderId="0" xfId="0" applyNumberFormat="1"/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top" wrapText="1"/>
    </xf>
    <xf numFmtId="0" fontId="0" fillId="5" borderId="2" xfId="0" applyFill="1" applyBorder="1"/>
    <xf numFmtId="0" fontId="0" fillId="6" borderId="2" xfId="0" applyFill="1" applyBorder="1"/>
    <xf numFmtId="0" fontId="0" fillId="0" borderId="0" xfId="0" applyAlignment="1">
      <alignment horizontal="right"/>
    </xf>
    <xf numFmtId="0" fontId="0" fillId="6" borderId="3" xfId="0" applyFill="1" applyBorder="1"/>
    <xf numFmtId="0" fontId="0" fillId="4" borderId="3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1" xfId="0" applyFont="1" applyFill="1" applyBorder="1"/>
    <xf numFmtId="0" fontId="0" fillId="5" borderId="2" xfId="0" applyFill="1" applyBorder="1" applyAlignment="1">
      <alignment vertical="top" wrapText="1"/>
    </xf>
    <xf numFmtId="0" fontId="1" fillId="3" borderId="4" xfId="0" applyFont="1" applyFill="1" applyBorder="1"/>
    <xf numFmtId="164" fontId="0" fillId="0" borderId="0" xfId="0" applyNumberFormat="1" applyBorder="1"/>
    <xf numFmtId="0" fontId="0" fillId="2" borderId="5" xfId="0" applyFont="1" applyFill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cat>
            <c:strRef>
              <c:f>'HOJA DE INFORME'!$A$4:$A$13</c:f>
              <c:strCache>
                <c:ptCount val="10"/>
                <c:pt idx="0">
                  <c:v>NUMERO DE PRODUCTOS ADQUIRIDOS</c:v>
                </c:pt>
                <c:pt idx="1">
                  <c:v>PRECIO DE ADQUISICION</c:v>
                </c:pt>
                <c:pt idx="2">
                  <c:v>NUMERO DE PRODUCTOS VENDIDOS</c:v>
                </c:pt>
                <c:pt idx="3">
                  <c:v>NUMERO DE PRODUCTOS POR REMESA</c:v>
                </c:pt>
                <c:pt idx="4">
                  <c:v>PRECIO DE VENTA POR PRODUCTO NO DEFECTUOSO</c:v>
                </c:pt>
                <c:pt idx="5">
                  <c:v>IMPORTE DE LA VENTA DE ARTICULOS NO DEFECTUOSOS</c:v>
                </c:pt>
                <c:pt idx="6">
                  <c:v>IMPORTE DE LA VENTA DE ARTICULOS DEFECTUOSOS</c:v>
                </c:pt>
                <c:pt idx="7">
                  <c:v>VENTAS NETAS</c:v>
                </c:pt>
                <c:pt idx="8">
                  <c:v>UTILIDAD BRUTA</c:v>
                </c:pt>
                <c:pt idx="9">
                  <c:v>INVENTARIO FINAL</c:v>
                </c:pt>
              </c:strCache>
            </c:strRef>
          </c:cat>
          <c:val>
            <c:numRef>
              <c:f>'HOJA DE INFORME'!$B$4:$B$13</c:f>
              <c:numCache>
                <c:formatCode>General</c:formatCode>
                <c:ptCount val="10"/>
                <c:pt idx="0">
                  <c:v>515</c:v>
                </c:pt>
                <c:pt idx="1">
                  <c:v>55.2</c:v>
                </c:pt>
                <c:pt idx="2">
                  <c:v>450</c:v>
                </c:pt>
                <c:pt idx="3">
                  <c:v>15</c:v>
                </c:pt>
                <c:pt idx="4">
                  <c:v>82.800000000000011</c:v>
                </c:pt>
                <c:pt idx="5">
                  <c:v>37674.000000000007</c:v>
                </c:pt>
                <c:pt idx="6">
                  <c:v>3974.4000000000005</c:v>
                </c:pt>
                <c:pt idx="7">
                  <c:v>41648.400000000009</c:v>
                </c:pt>
                <c:pt idx="8">
                  <c:v>13220.400000000009</c:v>
                </c:pt>
                <c:pt idx="9">
                  <c:v>65</c:v>
                </c:pt>
              </c:numCache>
            </c:numRef>
          </c:val>
          <c:shape val="pyramid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424944"/>
        <c:axId val="325427296"/>
        <c:axId val="0"/>
      </c:bar3DChart>
      <c:catAx>
        <c:axId val="32542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5427296"/>
        <c:crosses val="autoZero"/>
        <c:auto val="1"/>
        <c:lblAlgn val="ctr"/>
        <c:lblOffset val="100"/>
        <c:noMultiLvlLbl val="0"/>
      </c:catAx>
      <c:valAx>
        <c:axId val="32542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542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92D050"/>
    </a:solidFill>
    <a:ln w="952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2085001</xdr:colOff>
      <xdr:row>3</xdr:row>
      <xdr:rowOff>80294</xdr:rowOff>
    </xdr:from>
    <xdr:to>
      <xdr:col>6</xdr:col>
      <xdr:colOff>727500</xdr:colOff>
      <xdr:row>9</xdr:row>
      <xdr:rowOff>111279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501" y="642794"/>
          <a:ext cx="1919999" cy="1155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480965</xdr:colOff>
      <xdr:row>0</xdr:row>
      <xdr:rowOff>0</xdr:rowOff>
    </xdr:from>
    <xdr:to>
      <xdr:col>5</xdr:col>
      <xdr:colOff>649679</xdr:colOff>
      <xdr:row>3</xdr:row>
      <xdr:rowOff>9430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049" y="0"/>
          <a:ext cx="3224259" cy="575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92374</xdr:colOff>
      <xdr:row>4</xdr:row>
      <xdr:rowOff>233633</xdr:rowOff>
    </xdr:from>
    <xdr:to>
      <xdr:col>11</xdr:col>
      <xdr:colOff>82849</xdr:colOff>
      <xdr:row>18</xdr:row>
      <xdr:rowOff>32979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691909</xdr:colOff>
      <xdr:row>4</xdr:row>
      <xdr:rowOff>216316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599" y="0"/>
          <a:ext cx="2983301" cy="15462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4:D19" totalsRowShown="0">
  <autoFilter ref="A4:D19">
    <filterColumn colId="0" hiddenButton="1"/>
    <filterColumn colId="1" hiddenButton="1"/>
    <filterColumn colId="2" hiddenButton="1"/>
    <filterColumn colId="3" hiddenButton="1"/>
  </autoFilter>
  <tableColumns count="4">
    <tableColumn id="1" name="CONCEPTOS"/>
    <tableColumn id="2" name="MOCHILA"/>
    <tableColumn id="3" name="USB"/>
    <tableColumn id="4" name="CARPETA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G4:J19" tableBorderDxfId="5">
  <autoFilter ref="G4:J19">
    <filterColumn colId="0" hiddenButton="1"/>
    <filterColumn colId="1" hiddenButton="1"/>
    <filterColumn colId="2" hiddenButton="1"/>
    <filterColumn colId="3" hiddenButton="1"/>
  </autoFilter>
  <tableColumns count="4">
    <tableColumn id="1" name="CONCEPTOS" totalsRowLabel="Total" dataDxfId="4" totalsRowDxfId="2"/>
    <tableColumn id="2" name="MOCHILA"/>
    <tableColumn id="3" name="USB"/>
    <tableColumn id="4" name="CARPETA" totalsRowFunction="sum" totalsRow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4:D39" totalsRowShown="0" tableBorderDxfId="1">
  <autoFilter ref="A24:D39">
    <filterColumn colId="0" hiddenButton="1"/>
    <filterColumn colId="1" hiddenButton="1"/>
    <filterColumn colId="2" hiddenButton="1"/>
    <filterColumn colId="3" hiddenButton="1"/>
  </autoFilter>
  <tableColumns count="4">
    <tableColumn id="1" name="CONCEPTOS" dataDxfId="0"/>
    <tableColumn id="2" name="MOCHILA"/>
    <tableColumn id="3" name="USB"/>
    <tableColumn id="4" name="CARPE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127" workbookViewId="0">
      <selection activeCell="D8" sqref="D8"/>
    </sheetView>
  </sheetViews>
  <sheetFormatPr baseColWidth="10" defaultRowHeight="15" x14ac:dyDescent="0.25"/>
  <cols>
    <col min="1" max="1" width="22.5703125" customWidth="1"/>
    <col min="5" max="5" width="27.85546875" customWidth="1"/>
    <col min="6" max="6" width="49.140625" customWidth="1"/>
    <col min="7" max="7" width="53.28515625" customWidth="1"/>
    <col min="8" max="8" width="42.140625" customWidth="1"/>
    <col min="9" max="9" width="30.5703125" customWidth="1"/>
    <col min="10" max="10" width="19.28515625" customWidth="1"/>
    <col min="11" max="11" width="57.28515625" customWidth="1"/>
  </cols>
  <sheetData>
    <row r="1" spans="1:14" x14ac:dyDescent="0.25">
      <c r="D1" t="s">
        <v>1</v>
      </c>
    </row>
    <row r="3" spans="1:14" x14ac:dyDescent="0.25">
      <c r="A3" t="s">
        <v>0</v>
      </c>
    </row>
    <row r="4" spans="1:14" x14ac:dyDescent="0.25">
      <c r="A4" t="s">
        <v>2</v>
      </c>
    </row>
    <row r="6" spans="1:14" x14ac:dyDescent="0.25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x14ac:dyDescent="0.25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25">
      <c r="A8" s="1" t="s">
        <v>9</v>
      </c>
      <c r="B8" s="1" t="s">
        <v>4</v>
      </c>
      <c r="C8" s="1" t="s">
        <v>10</v>
      </c>
      <c r="D8" s="1"/>
      <c r="E8" s="1"/>
      <c r="F8" s="1"/>
      <c r="G8" s="1"/>
      <c r="H8" s="1"/>
      <c r="I8" s="1"/>
      <c r="J8" s="1"/>
      <c r="K8" s="1"/>
    </row>
    <row r="9" spans="1:14" x14ac:dyDescent="0.25">
      <c r="A9" s="3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2"/>
      <c r="M9" s="2"/>
      <c r="N9" s="2"/>
    </row>
    <row r="10" spans="1:14" x14ac:dyDescent="0.25">
      <c r="A10" s="3" t="s">
        <v>6</v>
      </c>
      <c r="B10" s="3" t="s">
        <v>7</v>
      </c>
      <c r="C10" s="3" t="s">
        <v>11</v>
      </c>
      <c r="D10" s="3"/>
      <c r="E10" s="3"/>
      <c r="F10" s="3"/>
      <c r="G10" s="3"/>
      <c r="H10" s="3"/>
      <c r="I10" s="3"/>
      <c r="J10" s="3"/>
      <c r="K10" s="3"/>
      <c r="L10" s="2"/>
      <c r="M10" s="2"/>
      <c r="N10" s="2"/>
    </row>
    <row r="11" spans="1:14" x14ac:dyDescent="0.25">
      <c r="A11" s="3" t="s">
        <v>12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"/>
      <c r="M11" s="2"/>
      <c r="N11" s="2"/>
    </row>
    <row r="12" spans="1:14" x14ac:dyDescent="0.25">
      <c r="A12" s="3" t="s">
        <v>13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2"/>
      <c r="N12" s="2"/>
    </row>
    <row r="13" spans="1:14" x14ac:dyDescent="0.25">
      <c r="A13" s="3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  <c r="N13" s="2"/>
    </row>
    <row r="14" spans="1:14" x14ac:dyDescent="0.25">
      <c r="A14" s="3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</row>
    <row r="15" spans="1:14" x14ac:dyDescent="0.25">
      <c r="A15" s="3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  <c r="N15" s="2"/>
    </row>
    <row r="16" spans="1:14" x14ac:dyDescent="0.25">
      <c r="A16" s="3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  <c r="N16" s="2"/>
    </row>
    <row r="17" spans="1:14" x14ac:dyDescent="0.25">
      <c r="A17" s="3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  <c r="N17" s="2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  <c r="N18" s="2"/>
    </row>
    <row r="19" spans="1:14" x14ac:dyDescent="0.25">
      <c r="A19" s="3" t="s">
        <v>19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  <c r="N19" s="2"/>
    </row>
    <row r="20" spans="1:14" x14ac:dyDescent="0.25">
      <c r="A20" s="3" t="s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  <c r="N20" s="2"/>
    </row>
    <row r="21" spans="1:14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  <c r="N21" s="2"/>
    </row>
    <row r="22" spans="1:14" x14ac:dyDescent="0.25">
      <c r="A22" s="3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2"/>
      <c r="M22" s="2"/>
      <c r="N22" s="2"/>
    </row>
    <row r="23" spans="1:14" x14ac:dyDescent="0.25">
      <c r="A23" s="3" t="s">
        <v>23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2"/>
      <c r="M23" s="2"/>
      <c r="N23" s="2"/>
    </row>
    <row r="24" spans="1:14" x14ac:dyDescent="0.25">
      <c r="A24" s="3" t="s">
        <v>24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  <c r="N24" s="2"/>
    </row>
    <row r="25" spans="1:14" x14ac:dyDescent="0.25">
      <c r="A25" s="3" t="s">
        <v>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  <c r="N25" s="2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  <c r="M26" s="2"/>
      <c r="N26" s="2"/>
    </row>
    <row r="27" spans="1:14" x14ac:dyDescent="0.25">
      <c r="A27" s="3" t="s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2"/>
      <c r="M27" s="2"/>
      <c r="N27" s="2"/>
    </row>
    <row r="28" spans="1:14" x14ac:dyDescent="0.25">
      <c r="A28" s="3" t="s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2"/>
      <c r="M28" s="2"/>
      <c r="N28" s="2"/>
    </row>
    <row r="29" spans="1:14" x14ac:dyDescent="0.25">
      <c r="A29" s="3" t="s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2"/>
      <c r="M29" s="2"/>
      <c r="N29" s="2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zoomScale="101" zoomScaleNormal="101" workbookViewId="0">
      <selection activeCell="E10" sqref="E10"/>
    </sheetView>
  </sheetViews>
  <sheetFormatPr baseColWidth="10" defaultRowHeight="15" x14ac:dyDescent="0.25"/>
  <cols>
    <col min="1" max="1" width="43.7109375" customWidth="1"/>
    <col min="7" max="7" width="49.7109375" customWidth="1"/>
    <col min="8" max="8" width="11.85546875" bestFit="1" customWidth="1"/>
    <col min="13" max="13" width="11.42578125" customWidth="1"/>
  </cols>
  <sheetData>
    <row r="3" spans="1:10" x14ac:dyDescent="0.25">
      <c r="A3" s="16" t="s">
        <v>57</v>
      </c>
      <c r="B3" s="8"/>
      <c r="C3" s="8"/>
      <c r="D3" s="8"/>
      <c r="G3" s="8" t="s">
        <v>58</v>
      </c>
      <c r="H3" s="8"/>
      <c r="I3" s="8"/>
      <c r="J3" s="8"/>
    </row>
    <row r="4" spans="1:10" x14ac:dyDescent="0.25">
      <c r="A4" t="s">
        <v>29</v>
      </c>
      <c r="B4" t="s">
        <v>45</v>
      </c>
      <c r="C4" t="s">
        <v>46</v>
      </c>
      <c r="D4" t="s">
        <v>47</v>
      </c>
      <c r="G4" s="21" t="s">
        <v>29</v>
      </c>
      <c r="H4" t="s">
        <v>45</v>
      </c>
      <c r="I4" t="s">
        <v>46</v>
      </c>
      <c r="J4" t="s">
        <v>48</v>
      </c>
    </row>
    <row r="5" spans="1:10" x14ac:dyDescent="0.25">
      <c r="A5" t="s">
        <v>30</v>
      </c>
      <c r="B5">
        <v>225</v>
      </c>
      <c r="C5">
        <v>400</v>
      </c>
      <c r="D5">
        <v>515</v>
      </c>
      <c r="G5" s="6" t="s">
        <v>30</v>
      </c>
      <c r="H5">
        <v>250</v>
      </c>
      <c r="I5">
        <v>450</v>
      </c>
      <c r="J5">
        <v>580</v>
      </c>
    </row>
    <row r="6" spans="1:10" x14ac:dyDescent="0.25">
      <c r="A6" t="s">
        <v>31</v>
      </c>
      <c r="B6" s="4">
        <v>80</v>
      </c>
      <c r="C6" s="4">
        <v>48</v>
      </c>
      <c r="D6" s="5">
        <v>55.2</v>
      </c>
      <c r="G6" s="7" t="s">
        <v>31</v>
      </c>
      <c r="H6">
        <f>(Tabla1[[#This Row],[MOCHILA]]+(Tabla1[[#This Row],[MOCHILA]]*0.1))</f>
        <v>88</v>
      </c>
      <c r="I6">
        <f>(Tabla1[[#This Row],[USB]]+(Tabla1[[#This Row],[USB]]*0.15))</f>
        <v>55.2</v>
      </c>
      <c r="J6">
        <f>(Tabla1[[#This Row],[CARPETA ]]-(Tabla1[[#This Row],[CARPETA ]]*0.05))</f>
        <v>52.440000000000005</v>
      </c>
    </row>
    <row r="7" spans="1:10" x14ac:dyDescent="0.25">
      <c r="A7" t="s">
        <v>32</v>
      </c>
      <c r="B7">
        <v>200</v>
      </c>
      <c r="C7">
        <v>350</v>
      </c>
      <c r="D7">
        <v>450</v>
      </c>
      <c r="G7" s="6" t="s">
        <v>32</v>
      </c>
      <c r="H7">
        <f>(Tabla1[[#This Row],[MOCHILA]]-(0.1*Tabla1[[#This Row],[MOCHILA]]))</f>
        <v>180</v>
      </c>
      <c r="I7">
        <f>(Tabla1[[#This Row],[USB]]-(0.08*Tabla1[[#This Row],[USB]]))</f>
        <v>322</v>
      </c>
      <c r="J7">
        <f>(Tabla1[[#This Row],[CARPETA ]]+(Tabla1[[#This Row],[CARPETA ]]*0.16))</f>
        <v>522</v>
      </c>
    </row>
    <row r="8" spans="1:10" x14ac:dyDescent="0.25">
      <c r="A8" t="s">
        <v>33</v>
      </c>
      <c r="B8">
        <v>16</v>
      </c>
      <c r="C8">
        <v>10</v>
      </c>
      <c r="D8">
        <v>15</v>
      </c>
      <c r="G8" s="7" t="s">
        <v>33</v>
      </c>
      <c r="H8">
        <f>(Tabla1[[#This Row],[MOCHILA]])</f>
        <v>16</v>
      </c>
      <c r="I8">
        <f>(Tabla1[[#This Row],[USB]])</f>
        <v>10</v>
      </c>
      <c r="J8">
        <f>(Tabla1[[#This Row],[CARPETA ]])</f>
        <v>15</v>
      </c>
    </row>
    <row r="9" spans="1:10" x14ac:dyDescent="0.25">
      <c r="A9" t="s">
        <v>34</v>
      </c>
      <c r="B9">
        <v>2</v>
      </c>
      <c r="C9">
        <v>1</v>
      </c>
      <c r="D9">
        <v>2</v>
      </c>
      <c r="G9" s="6" t="s">
        <v>34</v>
      </c>
      <c r="H9">
        <f>(Tabla1[[#This Row],[MOCHILA]])</f>
        <v>2</v>
      </c>
      <c r="I9">
        <f>(Tabla1[[#This Row],[USB]])</f>
        <v>1</v>
      </c>
      <c r="J9">
        <f>(Tabla1[[#This Row],[CARPETA ]])</f>
        <v>2</v>
      </c>
    </row>
    <row r="10" spans="1:10" x14ac:dyDescent="0.25">
      <c r="A10" t="s">
        <v>35</v>
      </c>
      <c r="B10">
        <f>(B7/B8*2)</f>
        <v>25</v>
      </c>
      <c r="C10">
        <f>(C7/C8*1)</f>
        <v>35</v>
      </c>
      <c r="D10">
        <f>(D7/D8*2)</f>
        <v>60</v>
      </c>
      <c r="G10" s="7" t="s">
        <v>35</v>
      </c>
      <c r="H10">
        <f>(H7/H8*H9)</f>
        <v>22.5</v>
      </c>
      <c r="I10">
        <f>(I7/I8*I9)</f>
        <v>32.200000000000003</v>
      </c>
      <c r="J10">
        <f>(J7/J8*J9)</f>
        <v>69.599999999999994</v>
      </c>
    </row>
    <row r="11" spans="1:10" x14ac:dyDescent="0.25">
      <c r="A11" t="s">
        <v>36</v>
      </c>
      <c r="B11" s="4">
        <f>(B6*0.95+B6)</f>
        <v>156</v>
      </c>
      <c r="C11" s="9">
        <f>(C6*0.65+C6)</f>
        <v>79.2</v>
      </c>
      <c r="D11" s="9">
        <f>(D6*0.5+D6)</f>
        <v>82.800000000000011</v>
      </c>
      <c r="G11" s="6" t="s">
        <v>36</v>
      </c>
      <c r="H11" s="9">
        <f>(H6*0.95+H6)</f>
        <v>171.6</v>
      </c>
      <c r="I11" s="9">
        <f>(I6*0.65+I6)</f>
        <v>91.080000000000013</v>
      </c>
      <c r="J11" s="9">
        <f>(J6*0.5+J6)</f>
        <v>78.660000000000011</v>
      </c>
    </row>
    <row r="12" spans="1:10" x14ac:dyDescent="0.25">
      <c r="A12" t="s">
        <v>37</v>
      </c>
      <c r="B12" s="5">
        <f>(B11*0.6)</f>
        <v>93.6</v>
      </c>
      <c r="C12" s="9">
        <f>(C11-(0.3*C11))</f>
        <v>55.44</v>
      </c>
      <c r="D12" s="9">
        <f>(D11-(0.2*D11))</f>
        <v>66.240000000000009</v>
      </c>
      <c r="G12" s="7" t="s">
        <v>37</v>
      </c>
      <c r="H12" s="9">
        <f>(H11*0.6)</f>
        <v>102.96</v>
      </c>
      <c r="I12" s="9">
        <f>(I11*0.3)</f>
        <v>27.324000000000002</v>
      </c>
      <c r="J12" s="9">
        <f>(J11*0.2)</f>
        <v>15.732000000000003</v>
      </c>
    </row>
    <row r="13" spans="1:10" x14ac:dyDescent="0.25">
      <c r="A13" t="s">
        <v>38</v>
      </c>
      <c r="B13" s="4">
        <f>(B7*156)</f>
        <v>31200</v>
      </c>
      <c r="C13" s="9">
        <f>((C5-C10)*(C11))</f>
        <v>28908</v>
      </c>
      <c r="D13" s="9">
        <f>((D5-D10)*(D11))</f>
        <v>37674.000000000007</v>
      </c>
      <c r="G13" s="6" t="s">
        <v>38</v>
      </c>
      <c r="H13" s="9">
        <f>(H7*H11)</f>
        <v>30888</v>
      </c>
      <c r="I13" s="9">
        <f>(I7*I11)</f>
        <v>29327.760000000006</v>
      </c>
      <c r="J13" s="9">
        <f>(J7*J11)</f>
        <v>41060.520000000004</v>
      </c>
    </row>
    <row r="14" spans="1:10" x14ac:dyDescent="0.25">
      <c r="A14" t="s">
        <v>39</v>
      </c>
      <c r="B14" s="4">
        <f>(B10*B12)</f>
        <v>2340</v>
      </c>
      <c r="C14" s="9">
        <f>(C10*C12)</f>
        <v>1940.3999999999999</v>
      </c>
      <c r="D14" s="9">
        <f>(D10*D12)</f>
        <v>3974.4000000000005</v>
      </c>
      <c r="G14" s="7" t="s">
        <v>39</v>
      </c>
      <c r="H14" s="9">
        <f>(H10*H12)</f>
        <v>2316.6</v>
      </c>
      <c r="I14" s="9">
        <f>(I10*I12)</f>
        <v>879.83280000000013</v>
      </c>
      <c r="J14" s="9">
        <f>(J10*J12)</f>
        <v>1094.9472000000001</v>
      </c>
    </row>
    <row r="15" spans="1:10" x14ac:dyDescent="0.25">
      <c r="A15" t="s">
        <v>40</v>
      </c>
      <c r="B15" s="5">
        <f>(B13+B14)</f>
        <v>33540</v>
      </c>
      <c r="C15" s="9">
        <f>(C13+C14)</f>
        <v>30848.400000000001</v>
      </c>
      <c r="D15" s="9">
        <f>(D13+D14)</f>
        <v>41648.400000000009</v>
      </c>
      <c r="G15" s="6" t="s">
        <v>40</v>
      </c>
      <c r="H15" s="9">
        <f>(H13+H14)</f>
        <v>33204.6</v>
      </c>
      <c r="I15" s="9">
        <f>(I13+I14)</f>
        <v>30207.592800000006</v>
      </c>
      <c r="J15" s="9">
        <f>(J13+J14)</f>
        <v>42155.467200000006</v>
      </c>
    </row>
    <row r="16" spans="1:10" x14ac:dyDescent="0.25">
      <c r="A16" t="s">
        <v>41</v>
      </c>
      <c r="B16" s="4">
        <f>(B5*B6)</f>
        <v>18000</v>
      </c>
      <c r="C16" s="9">
        <f>(C5*C6)</f>
        <v>19200</v>
      </c>
      <c r="D16" s="9">
        <f>(D5*D6)</f>
        <v>28428</v>
      </c>
      <c r="G16" s="7" t="s">
        <v>41</v>
      </c>
      <c r="H16" s="9">
        <f>(H5*H6)</f>
        <v>22000</v>
      </c>
      <c r="I16" s="9">
        <f>(I5*I6)</f>
        <v>24840</v>
      </c>
      <c r="J16" s="9">
        <f>(J5+J6)</f>
        <v>632.44000000000005</v>
      </c>
    </row>
    <row r="17" spans="1:10" x14ac:dyDescent="0.25">
      <c r="A17" t="s">
        <v>42</v>
      </c>
      <c r="B17" s="5">
        <f>(B15-B16)</f>
        <v>15540</v>
      </c>
      <c r="C17" s="9">
        <f>(C15-C16)</f>
        <v>11648.400000000001</v>
      </c>
      <c r="D17" s="9">
        <f>(D15-D16)</f>
        <v>13220.400000000009</v>
      </c>
      <c r="G17" s="6" t="s">
        <v>42</v>
      </c>
      <c r="H17" s="9">
        <f>(H15-H16)</f>
        <v>11204.599999999999</v>
      </c>
      <c r="I17" s="9">
        <f>(I15-I16)</f>
        <v>5367.5928000000058</v>
      </c>
      <c r="J17" s="9">
        <f>(J15-J16)</f>
        <v>41523.027200000004</v>
      </c>
    </row>
    <row r="18" spans="1:10" x14ac:dyDescent="0.25">
      <c r="A18" t="s">
        <v>43</v>
      </c>
      <c r="B18">
        <v>0</v>
      </c>
      <c r="C18">
        <v>0</v>
      </c>
      <c r="D18">
        <v>0</v>
      </c>
      <c r="G18" s="7" t="s">
        <v>43</v>
      </c>
      <c r="H18">
        <v>0</v>
      </c>
      <c r="I18">
        <v>0</v>
      </c>
      <c r="J18">
        <v>0</v>
      </c>
    </row>
    <row r="19" spans="1:10" x14ac:dyDescent="0.25">
      <c r="A19" t="s">
        <v>44</v>
      </c>
      <c r="B19">
        <f>(B5-B7)</f>
        <v>25</v>
      </c>
      <c r="C19">
        <f>(C5-C7)</f>
        <v>50</v>
      </c>
      <c r="D19">
        <f>(D5-D7)</f>
        <v>65</v>
      </c>
      <c r="G19" s="6" t="s">
        <v>44</v>
      </c>
      <c r="H19">
        <f>(H5-H7)</f>
        <v>70</v>
      </c>
      <c r="I19">
        <f>(I5-I7)</f>
        <v>128</v>
      </c>
      <c r="J19">
        <f>(J5-J7)</f>
        <v>58</v>
      </c>
    </row>
    <row r="23" spans="1:10" x14ac:dyDescent="0.25">
      <c r="A23" s="8" t="s">
        <v>56</v>
      </c>
      <c r="B23" s="8"/>
      <c r="C23" s="8"/>
      <c r="D23" s="8"/>
    </row>
    <row r="24" spans="1:10" x14ac:dyDescent="0.25">
      <c r="A24" s="23" t="s">
        <v>29</v>
      </c>
      <c r="B24" s="19" t="s">
        <v>45</v>
      </c>
      <c r="C24" s="19" t="s">
        <v>46</v>
      </c>
      <c r="D24" s="19" t="s">
        <v>48</v>
      </c>
      <c r="G24" s="17" t="s">
        <v>49</v>
      </c>
      <c r="H24" s="20"/>
      <c r="I24" s="20"/>
      <c r="J24" s="20"/>
    </row>
    <row r="25" spans="1:10" x14ac:dyDescent="0.25">
      <c r="A25" s="6" t="s">
        <v>30</v>
      </c>
      <c r="B25" s="19">
        <v>180</v>
      </c>
      <c r="C25" s="19">
        <v>322</v>
      </c>
      <c r="D25" s="19">
        <v>522</v>
      </c>
      <c r="G25" s="18" t="str">
        <f>A3</f>
        <v>AÑO 2013</v>
      </c>
      <c r="H25" s="19"/>
      <c r="I25" s="19"/>
      <c r="J25" s="19"/>
    </row>
    <row r="26" spans="1:10" x14ac:dyDescent="0.25">
      <c r="A26" s="7" t="s">
        <v>31</v>
      </c>
      <c r="B26" s="19">
        <f>(H6*0.1+H6)</f>
        <v>96.8</v>
      </c>
      <c r="C26" s="19">
        <f>(I6*0.15+I6)</f>
        <v>63.480000000000004</v>
      </c>
      <c r="D26" s="19">
        <f>(J6-(0.05*J6))</f>
        <v>49.818000000000005</v>
      </c>
      <c r="G26" s="18" t="str">
        <f>G3</f>
        <v>AÑO 2014</v>
      </c>
      <c r="H26" s="19"/>
      <c r="I26" s="19"/>
      <c r="J26" s="19"/>
    </row>
    <row r="27" spans="1:10" x14ac:dyDescent="0.25">
      <c r="A27" s="6" t="s">
        <v>32</v>
      </c>
      <c r="B27" s="19">
        <f>(H7-(0.1*H7))</f>
        <v>162</v>
      </c>
      <c r="C27" s="19">
        <f>(I7-(0.08*I7))</f>
        <v>296.24</v>
      </c>
      <c r="D27" s="19">
        <f>(J7+(0.16*J7))</f>
        <v>605.52</v>
      </c>
      <c r="G27" s="18" t="str">
        <f>A23</f>
        <v>AÑO 2015</v>
      </c>
      <c r="H27" s="19"/>
      <c r="I27" s="19"/>
      <c r="J27" s="19"/>
    </row>
    <row r="28" spans="1:10" x14ac:dyDescent="0.25">
      <c r="A28" s="7" t="s">
        <v>33</v>
      </c>
      <c r="B28" s="19">
        <f t="shared" ref="B28:D29" si="0">(H8)</f>
        <v>16</v>
      </c>
      <c r="C28" s="19">
        <f t="shared" si="0"/>
        <v>10</v>
      </c>
      <c r="D28" s="19">
        <f t="shared" si="0"/>
        <v>15</v>
      </c>
    </row>
    <row r="29" spans="1:10" x14ac:dyDescent="0.25">
      <c r="A29" s="6" t="s">
        <v>34</v>
      </c>
      <c r="B29" s="19">
        <f t="shared" si="0"/>
        <v>2</v>
      </c>
      <c r="C29" s="19">
        <f t="shared" si="0"/>
        <v>1</v>
      </c>
      <c r="D29" s="19">
        <f t="shared" si="0"/>
        <v>2</v>
      </c>
    </row>
    <row r="30" spans="1:10" x14ac:dyDescent="0.25">
      <c r="A30" s="7" t="s">
        <v>35</v>
      </c>
      <c r="B30" s="19">
        <f>(B27/B28*B29)</f>
        <v>20.25</v>
      </c>
      <c r="C30" s="19">
        <f>(C27/C28*C29)</f>
        <v>29.624000000000002</v>
      </c>
      <c r="D30" s="19">
        <f>(D27/D28*D29)</f>
        <v>80.736000000000004</v>
      </c>
    </row>
    <row r="31" spans="1:10" x14ac:dyDescent="0.25">
      <c r="A31" s="6" t="s">
        <v>36</v>
      </c>
      <c r="B31" s="24">
        <f>(B26*0.95+B26)</f>
        <v>188.76</v>
      </c>
      <c r="C31" s="24">
        <f>(C26*0.65+C26)</f>
        <v>104.742</v>
      </c>
      <c r="D31" s="24">
        <f>(D26*0.5+D26)</f>
        <v>74.727000000000004</v>
      </c>
    </row>
    <row r="32" spans="1:10" x14ac:dyDescent="0.25">
      <c r="A32" s="7" t="s">
        <v>37</v>
      </c>
      <c r="B32" s="24">
        <f>(B31*0.6)</f>
        <v>113.25599999999999</v>
      </c>
      <c r="C32" s="24">
        <f>(C31*0.3)</f>
        <v>31.422599999999999</v>
      </c>
      <c r="D32" s="24">
        <f>(D31*0.2)</f>
        <v>14.945400000000001</v>
      </c>
    </row>
    <row r="33" spans="1:4" x14ac:dyDescent="0.25">
      <c r="A33" s="6" t="s">
        <v>38</v>
      </c>
      <c r="B33" s="24">
        <f>(B27*B31)</f>
        <v>30579.119999999999</v>
      </c>
      <c r="C33" s="24">
        <f>(C27*C31)</f>
        <v>31028.770080000002</v>
      </c>
      <c r="D33" s="24">
        <f>(D27*D31)</f>
        <v>45248.693039999998</v>
      </c>
    </row>
    <row r="34" spans="1:4" x14ac:dyDescent="0.25">
      <c r="A34" s="7" t="s">
        <v>39</v>
      </c>
      <c r="B34" s="24">
        <f>(B30*B32)</f>
        <v>2293.4339999999997</v>
      </c>
      <c r="C34" s="24">
        <f>(C30*C32)</f>
        <v>930.8631024</v>
      </c>
      <c r="D34" s="24">
        <f>(D30*D32)</f>
        <v>1206.6318144000002</v>
      </c>
    </row>
    <row r="35" spans="1:4" x14ac:dyDescent="0.25">
      <c r="A35" s="6" t="s">
        <v>40</v>
      </c>
      <c r="B35" s="24">
        <f>(B33+B34)</f>
        <v>32872.553999999996</v>
      </c>
      <c r="C35" s="24">
        <f>(C33+C34)</f>
        <v>31959.633182400001</v>
      </c>
      <c r="D35" s="24">
        <f>(D33+D34)</f>
        <v>46455.324854400002</v>
      </c>
    </row>
    <row r="36" spans="1:4" x14ac:dyDescent="0.25">
      <c r="A36" s="7" t="s">
        <v>41</v>
      </c>
      <c r="B36" s="24">
        <f>(B25*B26)</f>
        <v>17424</v>
      </c>
      <c r="C36" s="24">
        <f>(C25*C26)</f>
        <v>20440.560000000001</v>
      </c>
      <c r="D36" s="24">
        <f>(D25*D26)</f>
        <v>26004.996000000003</v>
      </c>
    </row>
    <row r="37" spans="1:4" x14ac:dyDescent="0.25">
      <c r="A37" s="6" t="s">
        <v>42</v>
      </c>
      <c r="B37" s="24">
        <f>(B35-B36)</f>
        <v>15448.553999999996</v>
      </c>
      <c r="C37" s="24">
        <f>(C35-C36)</f>
        <v>11519.073182399999</v>
      </c>
      <c r="D37" s="24">
        <f>(D35-D36)</f>
        <v>20450.328854399999</v>
      </c>
    </row>
    <row r="38" spans="1:4" x14ac:dyDescent="0.25">
      <c r="A38" s="7" t="s">
        <v>43</v>
      </c>
      <c r="B38" s="19">
        <v>0</v>
      </c>
      <c r="C38" s="19">
        <v>0</v>
      </c>
      <c r="D38" s="19">
        <v>0</v>
      </c>
    </row>
    <row r="39" spans="1:4" x14ac:dyDescent="0.25">
      <c r="A39" s="25" t="s">
        <v>44</v>
      </c>
      <c r="B39" s="19">
        <f>(B25-B27)</f>
        <v>18</v>
      </c>
      <c r="C39" s="19">
        <f>(C25-C27)</f>
        <v>25.759999999999991</v>
      </c>
      <c r="D39" s="19">
        <f>(D25-D27)</f>
        <v>-83.519999999999982</v>
      </c>
    </row>
  </sheetData>
  <mergeCells count="1">
    <mergeCell ref="H24:J24"/>
  </mergeCells>
  <pageMargins left="0.7" right="0.7" top="0.75" bottom="0.75" header="0.3" footer="0.3"/>
  <pageSetup orientation="portrait" horizontalDpi="4294967294" verticalDpi="0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06" zoomScaleNormal="106" workbookViewId="0">
      <selection activeCell="K3" sqref="K3"/>
    </sheetView>
  </sheetViews>
  <sheetFormatPr baseColWidth="10" defaultRowHeight="15" x14ac:dyDescent="0.25"/>
  <cols>
    <col min="1" max="1" width="36" customWidth="1"/>
    <col min="2" max="2" width="28.7109375" customWidth="1"/>
  </cols>
  <sheetData>
    <row r="1" spans="1:2" ht="29.25" customHeight="1" x14ac:dyDescent="0.25">
      <c r="A1" s="11" t="s">
        <v>49</v>
      </c>
      <c r="B1" s="11" t="s">
        <v>57</v>
      </c>
    </row>
    <row r="2" spans="1:2" ht="28.5" customHeight="1" x14ac:dyDescent="0.25">
      <c r="A2" s="11" t="s">
        <v>50</v>
      </c>
      <c r="B2" s="11" t="s">
        <v>47</v>
      </c>
    </row>
    <row r="3" spans="1:2" x14ac:dyDescent="0.25">
      <c r="A3" s="10"/>
      <c r="B3" s="10"/>
    </row>
    <row r="4" spans="1:2" ht="32.25" customHeight="1" x14ac:dyDescent="0.25">
      <c r="A4" s="14" t="s">
        <v>63</v>
      </c>
      <c r="B4" s="15">
        <f>IF(AND('HOJA DE INFORME'!B1='HOJA DE CALCULO'!A3,'HOJA DE INFORME'!B2=Tabla1[[#Headers],[MOCHILA]]),'HOJA DE CALCULO'!B5,IF(AND('HOJA DE INFORME'!B1='HOJA DE CALCULO'!G3,'HOJA DE INFORME'!B2=Tabla2[[#Headers],[MOCHILA]]),'HOJA DE CALCULO'!H5,IF(AND('HOJA DE INFORME'!B1='HOJA DE CALCULO'!A23,'HOJA DE INFORME'!B2=Tabla3[[#Headers],[MOCHILA]]),'HOJA DE CALCULO'!B25,IF(AND('HOJA DE INFORME'!B1='HOJA DE CALCULO'!A3,'HOJA DE INFORME'!B2=Tabla1[[#Headers],[USB]]),'HOJA DE CALCULO'!C5,IF(AND('HOJA DE INFORME'!B1='HOJA DE CALCULO'!G3,'HOJA DE INFORME'!B2=Tabla2[[#Headers],[USB]]),'HOJA DE CALCULO'!I5,IF(AND('HOJA DE INFORME'!B1='HOJA DE CALCULO'!A23,'HOJA DE INFORME'!B2=Tabla3[[#Headers],[USB]]),'HOJA DE CALCULO'!C25,IF(AND('HOJA DE INFORME'!B1='HOJA DE CALCULO'!A3,'HOJA DE INFORME'!B2=Tabla1[[#Headers],[CARPETA ]]),'HOJA DE CALCULO'!D5,IF(AND('HOJA DE INFORME'!B1='HOJA DE CALCULO'!G3,'HOJA DE INFORME'!B2=Tabla2[[#Headers],[CARPETA]]),'HOJA DE CALCULO'!J5,IF(AND('HOJA DE INFORME'!B1='HOJA DE CALCULO'!A23,'HOJA DE INFORME'!B2=Tabla3[[#Headers],[CARPETA]]),'HOJA DE CALCULO'!D25)))))))))</f>
        <v>515</v>
      </c>
    </row>
    <row r="5" spans="1:2" ht="31.5" customHeight="1" x14ac:dyDescent="0.25">
      <c r="A5" s="14" t="s">
        <v>59</v>
      </c>
      <c r="B5" s="15">
        <f>IF(AND('HOJA DE INFORME'!B1='HOJA DE CALCULO'!A3,'HOJA DE INFORME'!B2=Tabla1[[#Headers],[MOCHILA]]),'HOJA DE CALCULO'!B6,IF(AND('HOJA DE INFORME'!B1='HOJA DE CALCULO'!G3,'HOJA DE INFORME'!B2=Tabla2[[#Headers],[MOCHILA]]),'HOJA DE CALCULO'!H6,IF(AND('HOJA DE INFORME'!B1='HOJA DE CALCULO'!A23,'HOJA DE INFORME'!B2=Tabla3[[#Headers],[MOCHILA]]),'HOJA DE CALCULO'!B26,IF(AND('HOJA DE INFORME'!B1='HOJA DE CALCULO'!A3,'HOJA DE INFORME'!B2=Tabla1[[#Headers],[USB]]),'HOJA DE CALCULO'!C6,IF(AND('HOJA DE INFORME'!B1='HOJA DE CALCULO'!G3,'HOJA DE INFORME'!B2=Tabla2[[#Headers],[USB]]),'HOJA DE CALCULO'!I6,IF(AND('HOJA DE INFORME'!B1='HOJA DE CALCULO'!A23,'HOJA DE INFORME'!B2=Tabla3[[#Headers],[USB]]),'HOJA DE CALCULO'!C26,IF(AND('HOJA DE INFORME'!B1='HOJA DE CALCULO'!A3,'HOJA DE INFORME'!B2=Tabla1[[#Headers],[CARPETA ]]),'HOJA DE CALCULO'!D6,IF(AND('HOJA DE INFORME'!B1='HOJA DE CALCULO'!G3,'HOJA DE INFORME'!B2=Tabla2[[#Headers],[CARPETA]]),'HOJA DE CALCULO'!J6,IF(AND('HOJA DE INFORME'!B1='HOJA DE CALCULO'!A23,'HOJA DE INFORME'!B2=Tabla3[[#Headers],[CARPETA]]),'HOJA DE CALCULO'!D26)))))))))</f>
        <v>55.2</v>
      </c>
    </row>
    <row r="6" spans="1:2" ht="31.5" customHeight="1" x14ac:dyDescent="0.25">
      <c r="A6" s="14" t="s">
        <v>60</v>
      </c>
      <c r="B6" s="15">
        <f>IF(AND('HOJA DE INFORME'!B1='HOJA DE CALCULO'!A3,'HOJA DE INFORME'!B2=Tabla1[[#Headers],[MOCHILA]]),'HOJA DE CALCULO'!B7,IF(AND('HOJA DE INFORME'!B1='HOJA DE CALCULO'!G3,'HOJA DE INFORME'!B2=Tabla2[[#Headers],[MOCHILA]]),'HOJA DE CALCULO'!H7,IF(AND('HOJA DE INFORME'!B1='HOJA DE CALCULO'!A23,'HOJA DE INFORME'!B2=Tabla3[[#Headers],[MOCHILA]]),'HOJA DE CALCULO'!B27,IF(AND('HOJA DE INFORME'!B1='HOJA DE CALCULO'!A3,'HOJA DE INFORME'!B2=Tabla1[[#Headers],[USB]]),'HOJA DE CALCULO'!C7,IF(AND('HOJA DE INFORME'!B1='HOJA DE CALCULO'!G3,'HOJA DE INFORME'!B2=Tabla2[[#Headers],[USB]]),'HOJA DE CALCULO'!I7,IF(AND('HOJA DE INFORME'!B1='HOJA DE CALCULO'!A23,'HOJA DE INFORME'!B2=Tabla3[[#Headers],[USB]]),'HOJA DE CALCULO'!C27,IF(AND('HOJA DE INFORME'!B1='HOJA DE CALCULO'!A3,'HOJA DE INFORME'!B2=Tabla1[[#Headers],[CARPETA ]]),'HOJA DE CALCULO'!D7,IF(AND('HOJA DE INFORME'!B1='HOJA DE CALCULO'!G3,'HOJA DE INFORME'!B2=Tabla2[[#Headers],[CARPETA]]),'HOJA DE CALCULO'!J7,IF(AND('HOJA DE INFORME'!B1='HOJA DE CALCULO'!A23,'HOJA DE INFORME'!B2=Tabla3[[#Headers],[CARPETA]]),'HOJA DE CALCULO'!D27)))))))))</f>
        <v>450</v>
      </c>
    </row>
    <row r="7" spans="1:2" ht="31.5" customHeight="1" x14ac:dyDescent="0.25">
      <c r="A7" s="14" t="s">
        <v>61</v>
      </c>
      <c r="B7" s="15">
        <f>IF(AND('HOJA DE INFORME'!B1='HOJA DE CALCULO'!A3,'HOJA DE INFORME'!B2=Tabla1[[#Headers],[MOCHILA]]),'HOJA DE CALCULO'!B8,IF(AND('HOJA DE INFORME'!B1='HOJA DE CALCULO'!G3,'HOJA DE INFORME'!B2=Tabla2[[#Headers],[MOCHILA]]),'HOJA DE CALCULO'!H8,IF(AND('HOJA DE INFORME'!B1='HOJA DE CALCULO'!A23,'HOJA DE INFORME'!B2=Tabla3[[#Headers],[MOCHILA]]),'HOJA DE CALCULO'!B28,IF(AND('HOJA DE INFORME'!B1='HOJA DE CALCULO'!A3,'HOJA DE INFORME'!B2=Tabla1[[#Headers],[USB]]),'HOJA DE CALCULO'!C8,IF(AND('HOJA DE INFORME'!B1='HOJA DE CALCULO'!G3,'HOJA DE INFORME'!B2=Tabla2[[#Headers],[USB]]),'HOJA DE CALCULO'!I8,IF(AND('HOJA DE INFORME'!B1='HOJA DE CALCULO'!A23,'HOJA DE INFORME'!B2=Tabla3[[#Headers],[USB]]),'HOJA DE CALCULO'!C28,IF(AND('HOJA DE INFORME'!B1='HOJA DE CALCULO'!A3,'HOJA DE INFORME'!B2=Tabla1[[#Headers],[CARPETA ]]),'HOJA DE CALCULO'!D8,IF(AND('HOJA DE INFORME'!B1='HOJA DE CALCULO'!G3,'HOJA DE INFORME'!B2=Tabla2[[#Headers],[CARPETA]]),'HOJA DE CALCULO'!J8,IF(AND('HOJA DE INFORME'!B1='HOJA DE CALCULO'!A23,'HOJA DE INFORME'!B2=Tabla3[[#Headers],[CARPETA]]),'HOJA DE CALCULO'!D28)))))))))</f>
        <v>15</v>
      </c>
    </row>
    <row r="8" spans="1:2" ht="33.75" customHeight="1" x14ac:dyDescent="0.25">
      <c r="A8" s="22" t="s">
        <v>62</v>
      </c>
      <c r="B8" s="15">
        <f>IF(AND('HOJA DE INFORME'!B1='HOJA DE CALCULO'!A3,'HOJA DE INFORME'!B2=Tabla1[[#Headers],[MOCHILA]]),'HOJA DE CALCULO'!B11,IF(AND('HOJA DE INFORME'!B1='HOJA DE CALCULO'!G3,'HOJA DE INFORME'!B2=Tabla2[[#Headers],[MOCHILA]]),'HOJA DE CALCULO'!H11,IF(AND('HOJA DE INFORME'!B1='HOJA DE CALCULO'!A23,'HOJA DE INFORME'!B2=Tabla3[[#Headers],[MOCHILA]]),'HOJA DE CALCULO'!B31,IF(AND('HOJA DE INFORME'!B1='HOJA DE CALCULO'!A3,'HOJA DE INFORME'!B2=Tabla1[[#Headers],[USB]]),'HOJA DE CALCULO'!C11,IF(AND('HOJA DE INFORME'!B1='HOJA DE CALCULO'!G3,'HOJA DE INFORME'!B2=Tabla2[[#Headers],[USB]]),'HOJA DE CALCULO'!I11,IF(AND('HOJA DE INFORME'!B1='HOJA DE CALCULO'!A23,'HOJA DE INFORME'!B2=Tabla3[[#Headers],[USB]]),'HOJA DE CALCULO'!C31,IF(AND('HOJA DE INFORME'!B1='HOJA DE CALCULO'!A3,'HOJA DE INFORME'!B2=Tabla1[[#Headers],[CARPETA ]]),'HOJA DE CALCULO'!D11,IF(AND('HOJA DE INFORME'!B1='HOJA DE CALCULO'!G3,'HOJA DE INFORME'!B2=Tabla2[[#Headers],[CARPETA]]),'HOJA DE CALCULO'!J11,IF(AND('HOJA DE INFORME'!B1='HOJA DE CALCULO'!A23,'HOJA DE INFORME'!B2=Tabla3[[#Headers],[CARPETA]]),'HOJA DE CALCULO'!D31)))))))))</f>
        <v>82.800000000000011</v>
      </c>
    </row>
    <row r="9" spans="1:2" ht="30" x14ac:dyDescent="0.25">
      <c r="A9" s="12" t="s">
        <v>51</v>
      </c>
      <c r="B9" s="15">
        <f>IF(AND('HOJA DE INFORME'!B1='HOJA DE CALCULO'!A3,'HOJA DE INFORME'!B2=Tabla1[[#Headers],[MOCHILA]]),'HOJA DE CALCULO'!B13,IF(AND('HOJA DE INFORME'!B1='HOJA DE CALCULO'!G3,'HOJA DE INFORME'!B2=Tabla2[[#Headers],[MOCHILA]]),'HOJA DE CALCULO'!H13,IF(AND('HOJA DE INFORME'!B1='HOJA DE CALCULO'!A23,'HOJA DE INFORME'!B2=Tabla3[[#Headers],[MOCHILA]]),'HOJA DE CALCULO'!B33,IF(AND('HOJA DE INFORME'!B1='HOJA DE CALCULO'!A3,'HOJA DE INFORME'!B2=Tabla1[[#Headers],[USB]]),'HOJA DE CALCULO'!C13,IF(AND('HOJA DE INFORME'!B1='HOJA DE CALCULO'!G3,'HOJA DE INFORME'!B2=Tabla2[[#Headers],[USB]]),'HOJA DE CALCULO'!I13,IF(AND('HOJA DE INFORME'!B1='HOJA DE CALCULO'!A23,'HOJA DE INFORME'!B2=Tabla3[[#Headers],[USB]]),'HOJA DE CALCULO'!C33,IF(AND('HOJA DE INFORME'!B1='HOJA DE CALCULO'!A3,'HOJA DE INFORME'!B2=Tabla1[[#Headers],[CARPETA ]]),'HOJA DE CALCULO'!D13,IF(AND('HOJA DE INFORME'!B1='HOJA DE CALCULO'!G3,'HOJA DE INFORME'!B2=Tabla2[[#Headers],[CARPETA]]),'HOJA DE CALCULO'!J13,IF(AND('HOJA DE INFORME'!B1='HOJA DE CALCULO'!A23,'HOJA DE INFORME'!B2=Tabla3[[#Headers],[CARPETA]]),'HOJA DE CALCULO'!D33)))))))))</f>
        <v>37674.000000000007</v>
      </c>
    </row>
    <row r="10" spans="1:2" ht="30" x14ac:dyDescent="0.25">
      <c r="A10" s="13" t="s">
        <v>52</v>
      </c>
      <c r="B10" s="15">
        <f>IF(AND('HOJA DE INFORME'!B1='HOJA DE CALCULO'!A3,'HOJA DE INFORME'!B2=Tabla1[[#Headers],[MOCHILA]]),'HOJA DE CALCULO'!B14,IF(AND('HOJA DE INFORME'!B1='HOJA DE CALCULO'!G3,'HOJA DE INFORME'!B2=Tabla2[[#Headers],[MOCHILA]]),'HOJA DE CALCULO'!H14,IF(AND('HOJA DE INFORME'!B1='HOJA DE CALCULO'!A23,'HOJA DE INFORME'!B2=Tabla3[[#Headers],[MOCHILA]]),'HOJA DE CALCULO'!C34,IF(AND('HOJA DE INFORME'!B1='HOJA DE CALCULO'!A3,'HOJA DE INFORME'!B2=Tabla1[[#Headers],[USB]]),'HOJA DE CALCULO'!C14,IF(AND('HOJA DE INFORME'!B1='HOJA DE CALCULO'!G3,'HOJA DE INFORME'!B2=Tabla2[[#Headers],[USB]]),'HOJA DE CALCULO'!I14,IF(AND('HOJA DE INFORME'!B1='HOJA DE CALCULO'!A23,'HOJA DE INFORME'!B2=Tabla3[[#Headers],[USB]]),'HOJA DE CALCULO'!C34,IF(AND('HOJA DE INFORME'!B1='HOJA DE CALCULO'!A3,'HOJA DE INFORME'!B2=Tabla1[[#Headers],[CARPETA ]]),'HOJA DE CALCULO'!D14,IF(AND('HOJA DE INFORME'!B1='HOJA DE CALCULO'!G3,'HOJA DE INFORME'!B2=Tabla2[[#Headers],[CARPETA]]),'HOJA DE CALCULO'!J14,IF(AND('HOJA DE INFORME'!B1='HOJA DE CALCULO'!A23,'HOJA DE INFORME'!B2=Tabla3[[#Headers],[CARPETA]]),'HOJA DE CALCULO'!D34)))))))))</f>
        <v>3974.4000000000005</v>
      </c>
    </row>
    <row r="11" spans="1:2" ht="33.75" customHeight="1" x14ac:dyDescent="0.25">
      <c r="A11" s="14" t="s">
        <v>53</v>
      </c>
      <c r="B11" s="15">
        <f>IF(AND('HOJA DE INFORME'!B1='HOJA DE CALCULO'!A3,'HOJA DE INFORME'!B2=Tabla1[[#Headers],[MOCHILA]]),'HOJA DE CALCULO'!B15,IF(AND('HOJA DE INFORME'!B1='HOJA DE CALCULO'!G3,'HOJA DE INFORME'!B2=Tabla2[[#Headers],[MOCHILA]]),'HOJA DE CALCULO'!H15,IF(AND('HOJA DE INFORME'!B1='HOJA DE CALCULO'!A23,'HOJA DE INFORME'!B2=Tabla3[[#Headers],[MOCHILA]]),'HOJA DE CALCULO'!B35,IF(AND('HOJA DE INFORME'!B1='HOJA DE CALCULO'!A3,'HOJA DE INFORME'!B2=Tabla1[[#Headers],[USB]]),'HOJA DE CALCULO'!C15,IF(AND('HOJA DE INFORME'!B1='HOJA DE CALCULO'!G3,'HOJA DE INFORME'!B2=Tabla2[[#Headers],[USB]]),'HOJA DE CALCULO'!I15,IF(AND('HOJA DE INFORME'!B1='HOJA DE CALCULO'!A23,'HOJA DE INFORME'!B2=Tabla3[[#Headers],[USB]]),'HOJA DE CALCULO'!C35,IF(AND('HOJA DE INFORME'!B1='HOJA DE CALCULO'!A3,'HOJA DE INFORME'!B2=Tabla1[[#Headers],[CARPETA ]]),'HOJA DE CALCULO'!D15,IF(AND('HOJA DE INFORME'!B1='HOJA DE CALCULO'!G3,'HOJA DE INFORME'!B2=Tabla2[[#Headers],[CARPETA]]),'HOJA DE CALCULO'!J15,IF(AND('HOJA DE INFORME'!B1='HOJA DE CALCULO'!A23,'HOJA DE INFORME'!B2=Tabla3[[#Headers],[CARPETA]]),'HOJA DE CALCULO'!D35)))))))))</f>
        <v>41648.400000000009</v>
      </c>
    </row>
    <row r="12" spans="1:2" ht="33.75" customHeight="1" x14ac:dyDescent="0.25">
      <c r="A12" s="14" t="s">
        <v>54</v>
      </c>
      <c r="B12" s="15">
        <f>IF(AND('HOJA DE INFORME'!B1='HOJA DE CALCULO'!A3,'HOJA DE INFORME'!B2=Tabla1[[#Headers],[MOCHILA]]),'HOJA DE CALCULO'!B17,IF(AND('HOJA DE INFORME'!B1='HOJA DE CALCULO'!G3,'HOJA DE INFORME'!B2=Tabla2[[#Headers],[MOCHILA]]),'HOJA DE CALCULO'!H17,IF(AND('HOJA DE INFORME'!B1='HOJA DE CALCULO'!A23,'HOJA DE INFORME'!B2=Tabla3[[#Headers],[MOCHILA]]),'HOJA DE CALCULO'!B37,IF(AND('HOJA DE INFORME'!B1='HOJA DE CALCULO'!A3,'HOJA DE INFORME'!B2=Tabla1[[#Headers],[USB]]),'HOJA DE CALCULO'!C17,IF(AND('HOJA DE INFORME'!B1='HOJA DE CALCULO'!G3,'HOJA DE INFORME'!B2=Tabla2[[#Headers],[USB]]),'HOJA DE CALCULO'!I17,IF(AND('HOJA DE INFORME'!B1='HOJA DE CALCULO'!A23,'HOJA DE INFORME'!B2=Tabla3[[#Headers],[USB]]),'HOJA DE CALCULO'!C37,IF(AND('HOJA DE INFORME'!B1='HOJA DE CALCULO'!A3,'HOJA DE INFORME'!B2=Tabla1[[#Headers],[CARPETA ]]),'HOJA DE CALCULO'!D17,IF(AND('HOJA DE INFORME'!B1='HOJA DE CALCULO'!G3,'HOJA DE INFORME'!B2=Tabla2[[#Headers],[CARPETA]]),'HOJA DE CALCULO'!J17,IF(AND('HOJA DE INFORME'!B1='HOJA DE CALCULO'!A23,'HOJA DE INFORME'!B2=Tabla3[[#Headers],[CARPETA]]),'HOJA DE CALCULO'!D37)))))))))</f>
        <v>13220.400000000009</v>
      </c>
    </row>
    <row r="13" spans="1:2" ht="33" customHeight="1" x14ac:dyDescent="0.25">
      <c r="A13" s="14" t="s">
        <v>55</v>
      </c>
      <c r="B13" s="15">
        <f>IF(AND('HOJA DE INFORME'!B1='HOJA DE CALCULO'!A3,'HOJA DE INFORME'!B2=Tabla1[[#Headers],[MOCHILA]]),'HOJA DE CALCULO'!B19,IF(AND('HOJA DE INFORME'!B1='HOJA DE CALCULO'!G3,'HOJA DE INFORME'!B2=Tabla2[[#Headers],[MOCHILA]]),'HOJA DE CALCULO'!H19,IF(AND('HOJA DE INFORME'!B1='HOJA DE CALCULO'!A23,'HOJA DE INFORME'!B2=Tabla3[[#Headers],[MOCHILA]]),'HOJA DE CALCULO'!B39,IF(AND('HOJA DE INFORME'!B1='HOJA DE CALCULO'!A3,'HOJA DE INFORME'!B2=Tabla1[[#Headers],[USB]]),'HOJA DE CALCULO'!C19,IF(AND('HOJA DE INFORME'!B1='HOJA DE CALCULO'!G3,'HOJA DE INFORME'!B2=Tabla2[[#Headers],[USB]]),'HOJA DE CALCULO'!I19,IF(AND('HOJA DE INFORME'!B1='HOJA DE CALCULO'!A23,'HOJA DE INFORME'!B2=Tabla3[[#Headers],[USB]]),'HOJA DE CALCULO'!C39,IF(AND('HOJA DE INFORME'!B1='HOJA DE CALCULO'!A3,'HOJA DE INFORME'!B2=Tabla1[[#Headers],[CARPETA ]]),'HOJA DE CALCULO'!D19,IF(AND('HOJA DE INFORME'!B1='HOJA DE CALCULO'!G3,'HOJA DE INFORME'!B2=Tabla2[[#Headers],[CARPETA]]),'HOJA DE CALCULO'!J19,IF(AND('HOJA DE INFORME'!B1='HOJA DE CALCULO'!A23,'HOJA DE INFORME'!B2=Tabla3[[#Headers],[CARPETA]]),'HOJA DE CALCULO'!D39)))))))))</f>
        <v>65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'HOJA DE CALCULO'!$G$25:$G$27</xm:f>
          </x14:formula1>
          <xm:sqref>B1</xm:sqref>
        </x14:dataValidation>
        <x14:dataValidation type="list" allowBlank="1" showInputMessage="1" showErrorMessage="1">
          <x14:formula1>
            <xm:f>'HOJA DE CALCULO'!$B$4:$D$4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HOJAS DE DATOS</vt:lpstr>
      <vt:lpstr>HOJA DE CALCULO</vt:lpstr>
      <vt:lpstr>HOJA DE INFORME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VIANEY GODINEZ REYES</dc:creator>
  <cp:lastModifiedBy>MELISSA VIANEY GODINEZ REYES</cp:lastModifiedBy>
  <dcterms:created xsi:type="dcterms:W3CDTF">2015-02-15T00:06:03Z</dcterms:created>
  <dcterms:modified xsi:type="dcterms:W3CDTF">2015-02-18T02:24:24Z</dcterms:modified>
</cp:coreProperties>
</file>